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Программа" sheetId="1" r:id="rId1"/>
    <sheet name="Расчет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<sst xmlns="http://schemas.openxmlformats.org/spreadsheetml/2006/main" count="107" uniqueCount="60">
  <si>
    <t>М</t>
  </si>
  <si>
    <t>С</t>
  </si>
  <si>
    <t>Q</t>
  </si>
  <si>
    <t>кВт</t>
  </si>
  <si>
    <t>м</t>
  </si>
  <si>
    <t>кг</t>
  </si>
  <si>
    <r>
      <t>г/м</t>
    </r>
    <r>
      <rPr>
        <vertAlign val="superscript"/>
        <sz val="12"/>
        <rFont val="Arial Cyr"/>
        <family val="0"/>
      </rPr>
      <t>3</t>
    </r>
  </si>
  <si>
    <r>
      <t>С</t>
    </r>
    <r>
      <rPr>
        <vertAlign val="subscript"/>
        <sz val="12"/>
        <rFont val="Arial Cyr"/>
        <family val="0"/>
      </rPr>
      <t>пдк</t>
    </r>
  </si>
  <si>
    <t>С/Спдк</t>
  </si>
  <si>
    <r>
      <t>L</t>
    </r>
    <r>
      <rPr>
        <vertAlign val="subscript"/>
        <sz val="12"/>
        <rFont val="Arial Cyr"/>
        <family val="0"/>
      </rPr>
      <t>уд</t>
    </r>
  </si>
  <si>
    <r>
      <t>м</t>
    </r>
    <r>
      <rPr>
        <vertAlign val="superscript"/>
        <sz val="12"/>
        <rFont val="Arial Cyr"/>
        <family val="0"/>
      </rPr>
      <t>3</t>
    </r>
    <r>
      <rPr>
        <sz val="12"/>
        <rFont val="Arial Cyr"/>
        <family val="0"/>
      </rPr>
      <t>/ч</t>
    </r>
  </si>
  <si>
    <t>Фреон</t>
  </si>
  <si>
    <t>V</t>
  </si>
  <si>
    <r>
      <t>м</t>
    </r>
    <r>
      <rPr>
        <vertAlign val="superscript"/>
        <sz val="12"/>
        <rFont val="Arial Cyr"/>
        <family val="0"/>
      </rPr>
      <t>2</t>
    </r>
  </si>
  <si>
    <t>h</t>
  </si>
  <si>
    <r>
      <t>м</t>
    </r>
    <r>
      <rPr>
        <vertAlign val="superscript"/>
        <sz val="12"/>
        <rFont val="Arial Cyr"/>
        <family val="0"/>
      </rPr>
      <t>3</t>
    </r>
  </si>
  <si>
    <t>R22</t>
  </si>
  <si>
    <t>R407С</t>
  </si>
  <si>
    <t>R410А</t>
  </si>
  <si>
    <t>Суммарная производительность системы по холоду</t>
  </si>
  <si>
    <t>а</t>
  </si>
  <si>
    <t>b</t>
  </si>
  <si>
    <t>между наружным и самым удаленным внутренним блоками</t>
  </si>
  <si>
    <t>Тип хладагента</t>
  </si>
  <si>
    <t>Исходные данные:</t>
  </si>
  <si>
    <t>Длина помещения</t>
  </si>
  <si>
    <t>Ширина помещения</t>
  </si>
  <si>
    <t>Высота помещения</t>
  </si>
  <si>
    <t>Объект кондиционирования:</t>
  </si>
  <si>
    <t>Результаты расчета:</t>
  </si>
  <si>
    <t>Площадь помещения</t>
  </si>
  <si>
    <t>S</t>
  </si>
  <si>
    <t>Объем помещения</t>
  </si>
  <si>
    <t>помещения системами механической вентиляции</t>
  </si>
  <si>
    <t xml:space="preserve">Фактическая длина жидкостного трубопровода </t>
  </si>
  <si>
    <t xml:space="preserve">Количество вытяжного воздуха, удаляемого из данного </t>
  </si>
  <si>
    <r>
      <t>L</t>
    </r>
    <r>
      <rPr>
        <vertAlign val="subscript"/>
        <sz val="12"/>
        <rFont val="Arial Cyr"/>
        <family val="0"/>
      </rPr>
      <t>ф</t>
    </r>
  </si>
  <si>
    <t>Аварийная концентрация фреона</t>
  </si>
  <si>
    <t>Предельно допустимая концентрация фреона</t>
  </si>
  <si>
    <t>Отношение аварийной концентрации к ПДК фреона</t>
  </si>
  <si>
    <t>Полное количество хладагента в системе</t>
  </si>
  <si>
    <t>Ракитин Алексей Юрьевич, arakitin@jac.ru</t>
  </si>
  <si>
    <t>на 28кВт</t>
  </si>
  <si>
    <t>на 1кВт на 100м</t>
  </si>
  <si>
    <t>на 1кВт на 0м</t>
  </si>
  <si>
    <t>масса</t>
  </si>
  <si>
    <t>фреон</t>
  </si>
  <si>
    <t>Генерал</t>
  </si>
  <si>
    <t>МХИ</t>
  </si>
  <si>
    <t>на 1кВт на 160м</t>
  </si>
  <si>
    <t>серия</t>
  </si>
  <si>
    <t>J, V</t>
  </si>
  <si>
    <t>КХ2</t>
  </si>
  <si>
    <t>КХ4</t>
  </si>
  <si>
    <t>на 28(15,2)кВт</t>
  </si>
  <si>
    <t>Общее</t>
  </si>
  <si>
    <t>результат</t>
  </si>
  <si>
    <t>на 28(45) кВт</t>
  </si>
  <si>
    <t>Анализ безопасности пользователя</t>
  </si>
  <si>
    <r>
      <t xml:space="preserve">при эксплуатации VRF систем кондиционирования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</si>
</sst>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"/>
  </numFmts>
  <fonts count="15">
    <font>
      <sz val="10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vertAlign val="subscript"/>
      <sz val="12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b/>
      <sz val="14"/>
      <name val="Arial Cyr"/>
      <family val="0"/>
    </font>
    <font>
      <b/>
      <sz val="10.5"/>
      <color indexed="10"/>
      <name val="Arial Cyr"/>
      <family val="0"/>
    </font>
    <font>
      <b/>
      <sz val="12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left"/>
      <protection hidden="1"/>
    </xf>
    <xf numFmtId="0" fontId="1" fillId="3" borderId="7" xfId="0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left"/>
      <protection hidden="1"/>
    </xf>
    <xf numFmtId="0" fontId="1" fillId="3" borderId="9" xfId="0" applyFont="1" applyFill="1" applyBorder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1" fontId="10" fillId="4" borderId="2" xfId="0" applyNumberFormat="1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left" vertical="center"/>
      <protection hidden="1"/>
    </xf>
    <xf numFmtId="0" fontId="1" fillId="4" borderId="13" xfId="0" applyFont="1" applyFill="1" applyBorder="1" applyAlignment="1" applyProtection="1">
      <alignment horizontal="center" vertical="center"/>
      <protection hidden="1"/>
    </xf>
    <xf numFmtId="167" fontId="4" fillId="4" borderId="13" xfId="0" applyNumberFormat="1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168" fontId="1" fillId="5" borderId="2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68" fontId="1" fillId="3" borderId="2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8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2" fontId="1" fillId="5" borderId="13" xfId="0" applyNumberFormat="1" applyFont="1" applyFill="1" applyBorder="1" applyAlignment="1">
      <alignment horizontal="center"/>
    </xf>
    <xf numFmtId="168" fontId="1" fillId="5" borderId="13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center"/>
    </xf>
    <xf numFmtId="168" fontId="1" fillId="4" borderId="2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68" fontId="1" fillId="4" borderId="13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2" fontId="14" fillId="4" borderId="2" xfId="0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68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12" fillId="3" borderId="23" xfId="0" applyFont="1" applyFill="1" applyBorder="1" applyAlignment="1" applyProtection="1">
      <alignment horizontal="center" vertical="center"/>
      <protection hidden="1"/>
    </xf>
    <xf numFmtId="0" fontId="12" fillId="3" borderId="24" xfId="0" applyFont="1" applyFill="1" applyBorder="1" applyAlignment="1" applyProtection="1">
      <alignment horizontal="center" vertical="center"/>
      <protection hidden="1"/>
    </xf>
    <xf numFmtId="0" fontId="12" fillId="3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2" fillId="4" borderId="29" xfId="0" applyFont="1" applyFill="1" applyBorder="1" applyAlignment="1" applyProtection="1">
      <alignment horizontal="center" vertical="center"/>
      <protection hidden="1"/>
    </xf>
    <xf numFmtId="0" fontId="12" fillId="4" borderId="30" xfId="0" applyFont="1" applyFill="1" applyBorder="1" applyAlignment="1" applyProtection="1">
      <alignment horizontal="center" vertical="center"/>
      <protection hidden="1"/>
    </xf>
    <xf numFmtId="0" fontId="1" fillId="4" borderId="31" xfId="0" applyFont="1" applyFill="1" applyBorder="1" applyAlignment="1" applyProtection="1">
      <alignment horizontal="left" vertical="center"/>
      <protection hidden="1"/>
    </xf>
    <xf numFmtId="0" fontId="1" fillId="4" borderId="24" xfId="0" applyFont="1" applyFill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center" vertical="center"/>
      <protection hidden="1"/>
    </xf>
    <xf numFmtId="0" fontId="1" fillId="4" borderId="25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workbookViewId="0" topLeftCell="A1">
      <selection activeCell="A5" sqref="A5"/>
    </sheetView>
  </sheetViews>
  <sheetFormatPr defaultColWidth="9.00390625" defaultRowHeight="12.75"/>
  <cols>
    <col min="1" max="1" width="63.875" style="4" customWidth="1"/>
    <col min="2" max="2" width="9.125" style="4" customWidth="1"/>
    <col min="3" max="3" width="13.875" style="4" customWidth="1"/>
    <col min="4" max="4" width="6.625" style="4" customWidth="1"/>
    <col min="5" max="5" width="13.625" style="4" customWidth="1"/>
    <col min="6" max="7" width="9.125" style="4" customWidth="1"/>
    <col min="8" max="9" width="13.625" style="4" customWidth="1"/>
    <col min="10" max="12" width="9.125" style="4" customWidth="1"/>
    <col min="13" max="13" width="13.625" style="4" customWidth="1"/>
    <col min="14" max="16384" width="9.125" style="4" customWidth="1"/>
  </cols>
  <sheetData>
    <row r="1" spans="1:7" ht="24.75" customHeight="1">
      <c r="A1" s="99" t="s">
        <v>58</v>
      </c>
      <c r="B1" s="99"/>
      <c r="C1" s="99"/>
      <c r="D1" s="99"/>
      <c r="E1" s="1"/>
      <c r="F1" s="1"/>
      <c r="G1" s="1"/>
    </row>
    <row r="2" spans="1:7" ht="24.75" customHeight="1">
      <c r="A2" s="98" t="s">
        <v>59</v>
      </c>
      <c r="B2" s="98"/>
      <c r="C2" s="98"/>
      <c r="D2" s="98"/>
      <c r="E2" s="1"/>
      <c r="F2" s="1"/>
      <c r="G2" s="1"/>
    </row>
    <row r="3" spans="1:7" ht="21" customHeight="1" thickBot="1">
      <c r="A3" s="5"/>
      <c r="B3" s="5"/>
      <c r="C3" s="5"/>
      <c r="D3" s="5"/>
      <c r="E3" s="6"/>
      <c r="F3" s="6"/>
      <c r="G3" s="6"/>
    </row>
    <row r="4" spans="1:7" ht="21" customHeight="1">
      <c r="A4" s="100" t="s">
        <v>24</v>
      </c>
      <c r="B4" s="101"/>
      <c r="C4" s="101"/>
      <c r="D4" s="102"/>
      <c r="E4" s="6"/>
      <c r="F4" s="6"/>
      <c r="G4" s="6"/>
    </row>
    <row r="5" spans="1:7" ht="15">
      <c r="A5" s="7" t="s">
        <v>28</v>
      </c>
      <c r="B5" s="103"/>
      <c r="C5" s="104"/>
      <c r="D5" s="105"/>
      <c r="E5" s="6"/>
      <c r="F5" s="6"/>
      <c r="G5" s="6"/>
    </row>
    <row r="6" spans="1:13" ht="15.75">
      <c r="A6" s="7" t="s">
        <v>23</v>
      </c>
      <c r="B6" s="8" t="s">
        <v>11</v>
      </c>
      <c r="C6" s="8"/>
      <c r="D6" s="9"/>
      <c r="E6" s="6"/>
      <c r="F6" s="6"/>
      <c r="G6" s="6"/>
      <c r="J6" s="10"/>
      <c r="M6" s="6"/>
    </row>
    <row r="7" spans="1:7" ht="15.75">
      <c r="A7" s="7" t="s">
        <v>19</v>
      </c>
      <c r="B7" s="8" t="s">
        <v>2</v>
      </c>
      <c r="C7" s="32">
        <v>28</v>
      </c>
      <c r="D7" s="9" t="s">
        <v>3</v>
      </c>
      <c r="E7" s="6"/>
      <c r="F7" s="6"/>
      <c r="G7" s="6"/>
    </row>
    <row r="8" spans="1:7" ht="15.75">
      <c r="A8" s="7" t="s">
        <v>25</v>
      </c>
      <c r="B8" s="8" t="s">
        <v>20</v>
      </c>
      <c r="C8" s="32">
        <v>5</v>
      </c>
      <c r="D8" s="9" t="s">
        <v>4</v>
      </c>
      <c r="E8" s="6"/>
      <c r="F8" s="6"/>
      <c r="G8" s="6"/>
    </row>
    <row r="9" spans="1:7" ht="15.75">
      <c r="A9" s="7" t="s">
        <v>26</v>
      </c>
      <c r="B9" s="8" t="s">
        <v>21</v>
      </c>
      <c r="C9" s="32">
        <v>4</v>
      </c>
      <c r="D9" s="9" t="s">
        <v>4</v>
      </c>
      <c r="E9" s="6"/>
      <c r="F9" s="6"/>
      <c r="G9" s="6"/>
    </row>
    <row r="10" spans="1:7" ht="15.75">
      <c r="A10" s="11" t="s">
        <v>27</v>
      </c>
      <c r="B10" s="12" t="s">
        <v>14</v>
      </c>
      <c r="C10" s="33">
        <v>3</v>
      </c>
      <c r="D10" s="13" t="s">
        <v>4</v>
      </c>
      <c r="E10" s="6"/>
      <c r="F10" s="6"/>
      <c r="G10" s="6"/>
    </row>
    <row r="11" spans="1:7" ht="15">
      <c r="A11" s="14" t="s">
        <v>34</v>
      </c>
      <c r="B11" s="89" t="s">
        <v>36</v>
      </c>
      <c r="C11" s="90">
        <v>0</v>
      </c>
      <c r="D11" s="91" t="s">
        <v>4</v>
      </c>
      <c r="E11" s="6"/>
      <c r="F11" s="6"/>
      <c r="G11" s="6"/>
    </row>
    <row r="12" spans="1:7" ht="15">
      <c r="A12" s="15" t="s">
        <v>22</v>
      </c>
      <c r="B12" s="89"/>
      <c r="C12" s="90"/>
      <c r="D12" s="91"/>
      <c r="E12" s="6"/>
      <c r="F12" s="16"/>
      <c r="G12" s="6"/>
    </row>
    <row r="13" spans="1:7" ht="15">
      <c r="A13" s="17" t="s">
        <v>35</v>
      </c>
      <c r="B13" s="92" t="s">
        <v>9</v>
      </c>
      <c r="C13" s="94">
        <v>0</v>
      </c>
      <c r="D13" s="96" t="s">
        <v>10</v>
      </c>
      <c r="E13" s="6"/>
      <c r="F13" s="6"/>
      <c r="G13" s="6"/>
    </row>
    <row r="14" spans="1:7" ht="15.75" thickBot="1">
      <c r="A14" s="18" t="s">
        <v>33</v>
      </c>
      <c r="B14" s="93"/>
      <c r="C14" s="95"/>
      <c r="D14" s="97"/>
      <c r="E14" s="6"/>
      <c r="F14" s="6"/>
      <c r="G14" s="6"/>
    </row>
    <row r="15" spans="1:7" ht="20.25" customHeight="1" thickBot="1">
      <c r="A15" s="87" t="s">
        <v>29</v>
      </c>
      <c r="B15" s="112"/>
      <c r="C15" s="112"/>
      <c r="D15" s="113"/>
      <c r="E15" s="6"/>
      <c r="F15" s="6"/>
      <c r="G15" s="6"/>
    </row>
    <row r="16" spans="1:7" ht="18">
      <c r="A16" s="114" t="s">
        <v>30</v>
      </c>
      <c r="B16" s="115" t="s">
        <v>31</v>
      </c>
      <c r="C16" s="116">
        <f>C8*C9</f>
        <v>20</v>
      </c>
      <c r="D16" s="117" t="s">
        <v>13</v>
      </c>
      <c r="E16" s="6"/>
      <c r="F16" s="6"/>
      <c r="G16" s="6"/>
    </row>
    <row r="17" spans="1:10" ht="18">
      <c r="A17" s="23" t="s">
        <v>32</v>
      </c>
      <c r="B17" s="20" t="s">
        <v>12</v>
      </c>
      <c r="C17" s="21">
        <f>C16*C10</f>
        <v>60</v>
      </c>
      <c r="D17" s="22" t="s">
        <v>15</v>
      </c>
      <c r="E17" s="6"/>
      <c r="F17" s="6"/>
      <c r="G17" s="6"/>
      <c r="J17" s="24"/>
    </row>
    <row r="18" spans="1:7" ht="15.75">
      <c r="A18" s="19" t="s">
        <v>40</v>
      </c>
      <c r="B18" s="20" t="s">
        <v>0</v>
      </c>
      <c r="C18" s="83">
        <f>IF(Расчет!D39=1,Расчет!D30,IF(Расчет!D39=2,Расчет!D31,IF(Расчет!D39=3,Расчет!D32,0)))</f>
        <v>12</v>
      </c>
      <c r="D18" s="22" t="s">
        <v>5</v>
      </c>
      <c r="E18" s="6"/>
      <c r="F18" s="6"/>
      <c r="G18" s="6"/>
    </row>
    <row r="19" spans="1:7" ht="18">
      <c r="A19" s="19" t="s">
        <v>37</v>
      </c>
      <c r="B19" s="20" t="s">
        <v>1</v>
      </c>
      <c r="C19" s="25">
        <f>C18/(C17+C13/6)*1000</f>
        <v>200</v>
      </c>
      <c r="D19" s="22" t="s">
        <v>6</v>
      </c>
      <c r="E19" s="6"/>
      <c r="F19" s="6"/>
      <c r="G19" s="6"/>
    </row>
    <row r="20" spans="1:7" ht="19.5">
      <c r="A20" s="19" t="s">
        <v>38</v>
      </c>
      <c r="B20" s="20" t="s">
        <v>7</v>
      </c>
      <c r="C20" s="21">
        <f>IF(Расчет!D39=1,300,IF(Расчет!D39=2,310,IF(Расчет!D39=3,440,0)))</f>
        <v>300</v>
      </c>
      <c r="D20" s="22" t="s">
        <v>6</v>
      </c>
      <c r="E20" s="6"/>
      <c r="F20" s="6"/>
      <c r="G20" s="6"/>
    </row>
    <row r="21" spans="1:7" ht="16.5" thickBot="1">
      <c r="A21" s="26" t="s">
        <v>39</v>
      </c>
      <c r="B21" s="27" t="s">
        <v>8</v>
      </c>
      <c r="C21" s="28">
        <f>C19/C20</f>
        <v>0.6666666666666666</v>
      </c>
      <c r="D21" s="29"/>
      <c r="E21" s="6"/>
      <c r="F21" s="6"/>
      <c r="G21" s="6"/>
    </row>
    <row r="22" spans="1:7" ht="27.75" customHeight="1">
      <c r="A22" s="88" t="str">
        <f>IF(C21&lt;1,"В данном помещении, в случае аварийной утечки фреона, его предельно допустимая концентрация превышена не будет","В данном помещении, в случае аварийной утечки фреона, его предельно допустимая концентрация будет превышена!")</f>
        <v>В данном помещении, в случае аварийной утечки фреона, его предельно допустимая концентрация превышена не будет</v>
      </c>
      <c r="B22" s="88"/>
      <c r="C22" s="88"/>
      <c r="D22" s="88"/>
      <c r="E22" s="88"/>
      <c r="F22" s="88"/>
      <c r="G22" s="88"/>
    </row>
    <row r="26" ht="15">
      <c r="A26" s="30" t="s">
        <v>41</v>
      </c>
    </row>
    <row r="61" ht="15">
      <c r="B61" s="31"/>
    </row>
    <row r="66" ht="15">
      <c r="C66" s="31"/>
    </row>
    <row r="67" ht="15">
      <c r="C67" s="31"/>
    </row>
    <row r="68" ht="15">
      <c r="C68" s="31"/>
    </row>
  </sheetData>
  <sheetProtection password="CB5A" sheet="1" objects="1" scenarios="1"/>
  <protectedRanges>
    <protectedRange password="CC94" sqref="B6:C14" name="Диапазон4"/>
    <protectedRange password="CB5A" sqref="C7:C14" name="Диапазон1"/>
    <protectedRange password="CB5A" sqref="C66 C67:C68" name="Диапазон2"/>
    <protectedRange password="CB5A" sqref="B61" name="Диапазон3"/>
  </protectedRanges>
  <mergeCells count="12">
    <mergeCell ref="A2:D2"/>
    <mergeCell ref="A1:D1"/>
    <mergeCell ref="A4:D4"/>
    <mergeCell ref="A15:D15"/>
    <mergeCell ref="B5:D5"/>
    <mergeCell ref="A22:G22"/>
    <mergeCell ref="B11:B12"/>
    <mergeCell ref="C11:C12"/>
    <mergeCell ref="D11:D12"/>
    <mergeCell ref="B13:B14"/>
    <mergeCell ref="C13:C14"/>
    <mergeCell ref="D13:D14"/>
  </mergeCells>
  <dataValidations count="1">
    <dataValidation type="list" allowBlank="1" showInputMessage="1" showErrorMessage="1" sqref="M6">
      <formula1>$C$66:$C$68</formula1>
    </dataValidation>
  </dataValidations>
  <printOptions/>
  <pageMargins left="0.75" right="0.75" top="1" bottom="1" header="0.5" footer="0.5"/>
  <pageSetup horizontalDpi="200" verticalDpi="2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M46"/>
  <sheetViews>
    <sheetView workbookViewId="0" topLeftCell="A10">
      <selection activeCell="G45" sqref="G45"/>
    </sheetView>
  </sheetViews>
  <sheetFormatPr defaultColWidth="9.00390625" defaultRowHeight="12.75"/>
  <cols>
    <col min="1" max="1" width="10.25390625" style="2" customWidth="1"/>
    <col min="2" max="2" width="9.125" style="2" customWidth="1"/>
    <col min="3" max="3" width="9.875" style="2" customWidth="1"/>
    <col min="4" max="4" width="13.00390625" style="2" customWidth="1"/>
    <col min="5" max="5" width="5.75390625" style="79" customWidth="1"/>
    <col min="6" max="6" width="9.125" style="2" customWidth="1"/>
    <col min="7" max="7" width="17.125" style="2" customWidth="1"/>
    <col min="8" max="8" width="19.75390625" style="2" customWidth="1"/>
    <col min="9" max="9" width="22.00390625" style="2" customWidth="1"/>
    <col min="10" max="16384" width="9.125" style="2" customWidth="1"/>
  </cols>
  <sheetData>
    <row r="8" spans="3:5" ht="15">
      <c r="C8" s="3"/>
      <c r="D8" s="3"/>
      <c r="E8" s="78"/>
    </row>
    <row r="12" ht="16.5" customHeight="1" thickBot="1"/>
    <row r="13" spans="1:10" ht="21" customHeight="1">
      <c r="A13" s="106" t="s">
        <v>47</v>
      </c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ht="15">
      <c r="A14" s="34"/>
      <c r="B14" s="35"/>
      <c r="C14" s="36" t="s">
        <v>50</v>
      </c>
      <c r="D14" s="36" t="s">
        <v>56</v>
      </c>
      <c r="E14" s="80"/>
      <c r="F14" s="36"/>
      <c r="G14" s="36" t="s">
        <v>54</v>
      </c>
      <c r="H14" s="36" t="s">
        <v>43</v>
      </c>
      <c r="I14" s="36" t="s">
        <v>44</v>
      </c>
      <c r="J14" s="37"/>
    </row>
    <row r="15" spans="1:10" ht="15">
      <c r="A15" s="38" t="s">
        <v>46</v>
      </c>
      <c r="B15" s="56">
        <v>22</v>
      </c>
      <c r="C15" s="36" t="s">
        <v>31</v>
      </c>
      <c r="D15" s="39">
        <f>Программа!C7*(I15+(H15-I15)/100*Программа!C11)</f>
        <v>12</v>
      </c>
      <c r="E15" s="56" t="s">
        <v>5</v>
      </c>
      <c r="F15" s="36" t="s">
        <v>45</v>
      </c>
      <c r="G15" s="40">
        <f>12+(0.136*70+0.063*15+0.025*15)+0.025*100</f>
        <v>25.340000000000003</v>
      </c>
      <c r="H15" s="39">
        <f>G15/28</f>
        <v>0.9050000000000001</v>
      </c>
      <c r="I15" s="39">
        <f>12/28</f>
        <v>0.42857142857142855</v>
      </c>
      <c r="J15" s="37" t="s">
        <v>5</v>
      </c>
    </row>
    <row r="16" spans="1:10" ht="15">
      <c r="A16" s="38" t="s">
        <v>46</v>
      </c>
      <c r="B16" s="56">
        <v>407</v>
      </c>
      <c r="C16" s="36" t="s">
        <v>31</v>
      </c>
      <c r="D16" s="39">
        <f>D15</f>
        <v>12</v>
      </c>
      <c r="E16" s="56" t="s">
        <v>5</v>
      </c>
      <c r="F16" s="36" t="s">
        <v>45</v>
      </c>
      <c r="G16" s="40">
        <f>12+0.1*70+0.05*15+0.02*15</f>
        <v>20.05</v>
      </c>
      <c r="H16" s="39">
        <f>G16/28</f>
        <v>0.7160714285714286</v>
      </c>
      <c r="I16" s="39">
        <f>12/28</f>
        <v>0.42857142857142855</v>
      </c>
      <c r="J16" s="37" t="s">
        <v>5</v>
      </c>
    </row>
    <row r="17" spans="1:10" ht="15.75" thickBot="1">
      <c r="A17" s="41" t="s">
        <v>46</v>
      </c>
      <c r="B17" s="57">
        <v>410</v>
      </c>
      <c r="C17" s="42" t="s">
        <v>51</v>
      </c>
      <c r="D17" s="60">
        <f>D24</f>
        <v>10.577777777777778</v>
      </c>
      <c r="E17" s="57" t="s">
        <v>5</v>
      </c>
      <c r="F17" s="42" t="s">
        <v>45</v>
      </c>
      <c r="G17" s="61">
        <f>6.5+0.06*60+0.02*10</f>
        <v>10.299999999999999</v>
      </c>
      <c r="H17" s="60">
        <f>G17/15.2</f>
        <v>0.6776315789473684</v>
      </c>
      <c r="I17" s="60">
        <f>6.5/15.2</f>
        <v>0.4276315789473684</v>
      </c>
      <c r="J17" s="43" t="s">
        <v>5</v>
      </c>
    </row>
    <row r="19" ht="15.75" thickBot="1"/>
    <row r="20" spans="1:10" ht="15.75">
      <c r="A20" s="109" t="s">
        <v>48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5">
      <c r="A21" s="44"/>
      <c r="B21" s="45"/>
      <c r="C21" s="46" t="s">
        <v>50</v>
      </c>
      <c r="D21" s="46" t="s">
        <v>56</v>
      </c>
      <c r="E21" s="81"/>
      <c r="F21" s="46"/>
      <c r="G21" s="46" t="s">
        <v>57</v>
      </c>
      <c r="H21" s="46" t="s">
        <v>43</v>
      </c>
      <c r="I21" s="46" t="s">
        <v>44</v>
      </c>
      <c r="J21" s="47"/>
    </row>
    <row r="22" spans="1:10" ht="15">
      <c r="A22" s="48" t="s">
        <v>46</v>
      </c>
      <c r="B22" s="58">
        <v>22</v>
      </c>
      <c r="C22" s="46" t="s">
        <v>52</v>
      </c>
      <c r="D22" s="49">
        <f>Программа!C7*(I22+(H22-I22)/100*Программа!C11)</f>
        <v>12</v>
      </c>
      <c r="E22" s="58" t="s">
        <v>5</v>
      </c>
      <c r="F22" s="46" t="s">
        <v>45</v>
      </c>
      <c r="G22" s="50">
        <f>G23</f>
        <v>25.95</v>
      </c>
      <c r="H22" s="49">
        <f>H23</f>
        <v>0.9267857142857142</v>
      </c>
      <c r="I22" s="49">
        <f>I23</f>
        <v>0.42857142857142855</v>
      </c>
      <c r="J22" s="47" t="s">
        <v>5</v>
      </c>
    </row>
    <row r="23" spans="1:10" ht="15">
      <c r="A23" s="48" t="s">
        <v>46</v>
      </c>
      <c r="B23" s="58">
        <v>407</v>
      </c>
      <c r="C23" s="46" t="s">
        <v>52</v>
      </c>
      <c r="D23" s="49">
        <f>Программа!C7*(I23+(H23-I23)/100*Программа!C11)</f>
        <v>12</v>
      </c>
      <c r="E23" s="58" t="s">
        <v>5</v>
      </c>
      <c r="F23" s="46" t="s">
        <v>45</v>
      </c>
      <c r="G23" s="50">
        <f>12+(0.12*40+0.06*45+0.03*15)+0.06*100</f>
        <v>25.95</v>
      </c>
      <c r="H23" s="49">
        <f>G23/28</f>
        <v>0.9267857142857142</v>
      </c>
      <c r="I23" s="49">
        <f>12/28</f>
        <v>0.42857142857142855</v>
      </c>
      <c r="J23" s="47" t="s">
        <v>5</v>
      </c>
    </row>
    <row r="24" spans="1:10" ht="15.75" thickBot="1">
      <c r="A24" s="51" t="s">
        <v>46</v>
      </c>
      <c r="B24" s="59">
        <v>410</v>
      </c>
      <c r="C24" s="52" t="s">
        <v>53</v>
      </c>
      <c r="D24" s="55">
        <f>Программа!C7*(I24+(H24-I24)/160*Программа!C11)</f>
        <v>10.577777777777778</v>
      </c>
      <c r="E24" s="59" t="s">
        <v>5</v>
      </c>
      <c r="F24" s="52" t="s">
        <v>45</v>
      </c>
      <c r="G24" s="54">
        <f>17+(0.054*130+0.022*30)*1.3+0.022*346</f>
        <v>34.596000000000004</v>
      </c>
      <c r="H24" s="55">
        <f>G24/45</f>
        <v>0.7688</v>
      </c>
      <c r="I24" s="55">
        <f>17/45</f>
        <v>0.37777777777777777</v>
      </c>
      <c r="J24" s="53" t="s">
        <v>5</v>
      </c>
    </row>
    <row r="27" ht="15.75" thickBot="1"/>
    <row r="28" spans="1:10" ht="15.75">
      <c r="A28" s="84" t="s">
        <v>55</v>
      </c>
      <c r="B28" s="85"/>
      <c r="C28" s="85"/>
      <c r="D28" s="85"/>
      <c r="E28" s="85"/>
      <c r="F28" s="85"/>
      <c r="G28" s="85"/>
      <c r="H28" s="85"/>
      <c r="I28" s="85"/>
      <c r="J28" s="86"/>
    </row>
    <row r="29" spans="1:13" ht="15">
      <c r="A29" s="62"/>
      <c r="B29" s="63"/>
      <c r="C29" s="63"/>
      <c r="D29" s="64" t="s">
        <v>56</v>
      </c>
      <c r="E29" s="82"/>
      <c r="F29" s="64"/>
      <c r="G29" s="64" t="s">
        <v>42</v>
      </c>
      <c r="H29" s="64" t="s">
        <v>49</v>
      </c>
      <c r="I29" s="64" t="s">
        <v>44</v>
      </c>
      <c r="J29" s="65"/>
      <c r="M29" s="2">
        <f>0.3*45*(1+0.01*100)</f>
        <v>27</v>
      </c>
    </row>
    <row r="30" spans="1:10" ht="15.75">
      <c r="A30" s="66" t="s">
        <v>46</v>
      </c>
      <c r="B30" s="67">
        <v>22</v>
      </c>
      <c r="C30" s="64"/>
      <c r="D30" s="76">
        <f>(D15+D22)/2</f>
        <v>12</v>
      </c>
      <c r="E30" s="67" t="s">
        <v>5</v>
      </c>
      <c r="F30" s="64" t="s">
        <v>45</v>
      </c>
      <c r="G30" s="69"/>
      <c r="H30" s="68"/>
      <c r="I30" s="68"/>
      <c r="J30" s="65" t="s">
        <v>5</v>
      </c>
    </row>
    <row r="31" spans="1:10" ht="15.75">
      <c r="A31" s="66" t="s">
        <v>46</v>
      </c>
      <c r="B31" s="67">
        <v>407</v>
      </c>
      <c r="C31" s="64"/>
      <c r="D31" s="76">
        <f>(D16+D23)/2</f>
        <v>12</v>
      </c>
      <c r="E31" s="67" t="s">
        <v>5</v>
      </c>
      <c r="F31" s="64" t="s">
        <v>45</v>
      </c>
      <c r="G31" s="69"/>
      <c r="H31" s="68"/>
      <c r="I31" s="68"/>
      <c r="J31" s="65" t="s">
        <v>5</v>
      </c>
    </row>
    <row r="32" spans="1:10" ht="16.5" thickBot="1">
      <c r="A32" s="70" t="s">
        <v>46</v>
      </c>
      <c r="B32" s="71">
        <v>410</v>
      </c>
      <c r="C32" s="72"/>
      <c r="D32" s="77">
        <f>(D17+D24)/2</f>
        <v>10.577777777777778</v>
      </c>
      <c r="E32" s="71" t="s">
        <v>5</v>
      </c>
      <c r="F32" s="72" t="s">
        <v>45</v>
      </c>
      <c r="G32" s="74"/>
      <c r="H32" s="73"/>
      <c r="I32" s="73"/>
      <c r="J32" s="75" t="s">
        <v>5</v>
      </c>
    </row>
    <row r="39" spans="4:5" ht="15">
      <c r="D39" s="31">
        <v>1</v>
      </c>
      <c r="E39" s="4"/>
    </row>
    <row r="40" spans="4:5" ht="15">
      <c r="D40" s="4"/>
      <c r="E40" s="4"/>
    </row>
    <row r="41" spans="4:5" ht="15">
      <c r="D41" s="4"/>
      <c r="E41" s="4"/>
    </row>
    <row r="42" spans="4:5" ht="15">
      <c r="D42" s="4"/>
      <c r="E42" s="4"/>
    </row>
    <row r="43" spans="4:5" ht="15">
      <c r="D43" s="4"/>
      <c r="E43" s="4"/>
    </row>
    <row r="44" spans="4:5" ht="15">
      <c r="D44" s="4"/>
      <c r="E44" s="31" t="s">
        <v>16</v>
      </c>
    </row>
    <row r="45" spans="4:5" ht="15">
      <c r="D45" s="4"/>
      <c r="E45" s="31" t="s">
        <v>17</v>
      </c>
    </row>
    <row r="46" spans="4:5" ht="15">
      <c r="D46" s="4"/>
      <c r="E46" s="31" t="s">
        <v>18</v>
      </c>
    </row>
  </sheetData>
  <sheetProtection password="CB5A" sheet="1" objects="1" scenarios="1"/>
  <protectedRanges>
    <protectedRange password="CB5A" sqref="E44:E46" name="Диапазон2"/>
    <protectedRange password="CB5A" sqref="D39" name="Диапазон3"/>
  </protectedRanges>
  <mergeCells count="3">
    <mergeCell ref="A13:J13"/>
    <mergeCell ref="A20:J20"/>
    <mergeCell ref="A28:J2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2006-05-06T05:10:59Z</cp:lastPrinted>
  <dcterms:created xsi:type="dcterms:W3CDTF">2006-01-16T08:22:21Z</dcterms:created>
  <dcterms:modified xsi:type="dcterms:W3CDTF">2006-05-06T05:13:12Z</dcterms:modified>
  <cp:category/>
  <cp:version/>
  <cp:contentType/>
  <cp:contentStatus/>
</cp:coreProperties>
</file>